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閉合トラバー\"/>
    </mc:Choice>
  </mc:AlternateContent>
  <xr:revisionPtr revIDLastSave="0" documentId="13_ncr:1_{5B866776-09AA-40D1-860F-DFF61CC6D317}" xr6:coauthVersionLast="47" xr6:coauthVersionMax="47" xr10:uidLastSave="{00000000-0000-0000-0000-000000000000}"/>
  <bookViews>
    <workbookView xWindow="-28920" yWindow="-120" windowWidth="29040" windowHeight="15720" xr2:uid="{B91EECF1-81A9-4365-B44E-F998C8726D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30" i="1" l="1"/>
  <c r="H30" i="1"/>
  <c r="C29" i="1"/>
  <c r="K26" i="1"/>
  <c r="K23" i="1"/>
  <c r="K24" i="1"/>
  <c r="K25" i="1"/>
  <c r="K22" i="1"/>
  <c r="H23" i="1"/>
  <c r="H24" i="1" s="1"/>
  <c r="H25" i="1" s="1"/>
  <c r="H26" i="1" s="1"/>
  <c r="H22" i="1"/>
  <c r="M21" i="1"/>
  <c r="J21" i="1"/>
  <c r="G24" i="1"/>
  <c r="G25" i="1"/>
  <c r="G23" i="1"/>
  <c r="G22" i="1"/>
  <c r="G21" i="1"/>
  <c r="F27" i="1"/>
  <c r="E27" i="1"/>
  <c r="A22" i="1"/>
  <c r="B22" i="1"/>
  <c r="A23" i="1"/>
  <c r="B23" i="1"/>
  <c r="A24" i="1"/>
  <c r="B24" i="1"/>
  <c r="A25" i="1"/>
  <c r="B25" i="1"/>
  <c r="B21" i="1"/>
  <c r="A21" i="1"/>
  <c r="C27" i="1"/>
  <c r="K21" i="1"/>
  <c r="H21" i="1"/>
  <c r="E19" i="1"/>
  <c r="E18" i="1"/>
  <c r="E17" i="1"/>
  <c r="L4" i="1"/>
  <c r="L9" i="1" s="1"/>
  <c r="K4" i="1"/>
  <c r="K9" i="1" s="1"/>
  <c r="J4" i="1"/>
  <c r="J9" i="1" s="1"/>
  <c r="C15" i="1"/>
  <c r="F13" i="1" s="1"/>
  <c r="C14" i="1"/>
  <c r="D14" i="1"/>
  <c r="E14" i="1"/>
  <c r="G13" i="1" l="1"/>
  <c r="I13" i="1"/>
  <c r="H13" i="1"/>
  <c r="F9" i="1"/>
  <c r="F10" i="1"/>
  <c r="F11" i="1"/>
  <c r="F12" i="1"/>
  <c r="D21" i="1"/>
  <c r="E16" i="1"/>
  <c r="H12" i="1" l="1"/>
  <c r="I12" i="1"/>
  <c r="G12" i="1"/>
  <c r="H11" i="1"/>
  <c r="I11" i="1"/>
  <c r="G11" i="1"/>
  <c r="H9" i="1"/>
  <c r="I9" i="1"/>
  <c r="G9" i="1"/>
  <c r="F14" i="1"/>
  <c r="I10" i="1"/>
  <c r="I14" i="1" s="1"/>
  <c r="G10" i="1"/>
  <c r="H10" i="1"/>
  <c r="E21" i="1"/>
  <c r="F21" i="1"/>
  <c r="L10" i="1" l="1"/>
  <c r="K10" i="1"/>
  <c r="J10" i="1"/>
  <c r="G14" i="1"/>
  <c r="H14" i="1"/>
  <c r="D22" i="1" l="1"/>
  <c r="L11" i="1"/>
  <c r="K11" i="1"/>
  <c r="D23" i="1" s="1"/>
  <c r="J11" i="1"/>
  <c r="E23" i="1" l="1"/>
  <c r="F23" i="1"/>
  <c r="L12" i="1"/>
  <c r="K12" i="1"/>
  <c r="J12" i="1"/>
  <c r="F22" i="1"/>
  <c r="E22" i="1"/>
  <c r="D24" i="1" l="1"/>
  <c r="K13" i="1"/>
  <c r="L13" i="1"/>
  <c r="J13" i="1"/>
  <c r="D25" i="1" l="1"/>
  <c r="L14" i="1"/>
  <c r="J14" i="1"/>
  <c r="K14" i="1"/>
  <c r="E24" i="1"/>
  <c r="F24" i="1"/>
  <c r="F25" i="1" l="1"/>
  <c r="K27" i="1" s="1"/>
  <c r="E25" i="1"/>
  <c r="L22" i="1" l="1"/>
  <c r="L23" i="1"/>
  <c r="L24" i="1"/>
  <c r="L25" i="1"/>
  <c r="L21" i="1"/>
  <c r="H27" i="1"/>
  <c r="L27" i="1" l="1"/>
  <c r="M22" i="1"/>
  <c r="M23" i="1" s="1"/>
  <c r="M24" i="1" s="1"/>
  <c r="M25" i="1" s="1"/>
  <c r="M26" i="1" s="1"/>
  <c r="M27" i="1" s="1"/>
  <c r="I24" i="1"/>
  <c r="I25" i="1"/>
  <c r="I23" i="1"/>
  <c r="C32" i="1"/>
  <c r="I22" i="1"/>
  <c r="I21" i="1"/>
  <c r="J22" i="1" s="1"/>
  <c r="I27" i="1" l="1"/>
  <c r="J23" i="1"/>
  <c r="J24" i="1" s="1"/>
  <c r="J25" i="1" s="1"/>
  <c r="J26" i="1" s="1"/>
  <c r="J27" i="1" s="1"/>
</calcChain>
</file>

<file path=xl/sharedStrings.xml><?xml version="1.0" encoding="utf-8"?>
<sst xmlns="http://schemas.openxmlformats.org/spreadsheetml/2006/main" count="81" uniqueCount="61">
  <si>
    <t>T-1</t>
    <phoneticPr fontId="1"/>
  </si>
  <si>
    <t>度</t>
    <rPh sb="0" eb="1">
      <t>ド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</si>
  <si>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</si>
  <si>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</si>
  <si>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測点</t>
    <rPh sb="0" eb="2">
      <t>ソクテン</t>
    </rPh>
    <phoneticPr fontId="1"/>
  </si>
  <si>
    <t>内角理論値</t>
    <rPh sb="0" eb="1">
      <t>ナイカク</t>
    </rPh>
    <rPh sb="1" eb="4">
      <t>リロンチ</t>
    </rPh>
    <phoneticPr fontId="1"/>
  </si>
  <si>
    <t>差</t>
    <rPh sb="0" eb="1">
      <t>サ</t>
    </rPh>
    <phoneticPr fontId="1"/>
  </si>
  <si>
    <t>実測内角</t>
    <rPh sb="0" eb="2">
      <t>ジッソク</t>
    </rPh>
    <rPh sb="2" eb="4">
      <t>ナイカク</t>
    </rPh>
    <phoneticPr fontId="1"/>
  </si>
  <si>
    <t>合計</t>
    <rPh sb="0" eb="2">
      <t>ゴウケイ</t>
    </rPh>
    <phoneticPr fontId="1"/>
  </si>
  <si>
    <t>方向角</t>
    <rPh sb="0" eb="3">
      <t>ホウコウカク</t>
    </rPh>
    <phoneticPr fontId="1"/>
  </si>
  <si>
    <t>180-165°14′10″+58°20′00″</t>
    <phoneticPr fontId="1"/>
  </si>
  <si>
    <t>180-97°36′22″+73°5′50″</t>
    <phoneticPr fontId="1"/>
  </si>
  <si>
    <t>180-98°2′52″+155°29′28″</t>
    <phoneticPr fontId="1"/>
  </si>
  <si>
    <t>180-116°39′29′+237°26′36″</t>
    <phoneticPr fontId="1"/>
  </si>
  <si>
    <t>X</t>
    <phoneticPr fontId="1"/>
  </si>
  <si>
    <t>Y</t>
    <phoneticPr fontId="1"/>
  </si>
  <si>
    <t>方向角(10進法)</t>
    <rPh sb="0" eb="3">
      <t>ホウコウカク</t>
    </rPh>
    <rPh sb="6" eb="8">
      <t>シンホウ</t>
    </rPh>
    <phoneticPr fontId="1"/>
  </si>
  <si>
    <t>【閉合トラバース測量】計算シート</t>
    <rPh sb="1" eb="3">
      <t>ヘイゴウ</t>
    </rPh>
    <rPh sb="8" eb="10">
      <t>ソクリョウ</t>
    </rPh>
    <rPh sb="11" eb="13">
      <t>ケイサン</t>
    </rPh>
    <phoneticPr fontId="1"/>
  </si>
  <si>
    <t>開始基準点</t>
    <rPh sb="0" eb="5">
      <t>カイシキジュンテン</t>
    </rPh>
    <phoneticPr fontId="1"/>
  </si>
  <si>
    <t>０セット基準点</t>
    <rPh sb="4" eb="7">
      <t>キジュンテン</t>
    </rPh>
    <phoneticPr fontId="1"/>
  </si>
  <si>
    <t>T-B</t>
    <phoneticPr fontId="1"/>
  </si>
  <si>
    <t>調整内角</t>
    <rPh sb="0" eb="2">
      <t>チョウセイ</t>
    </rPh>
    <rPh sb="2" eb="4">
      <t>ナイカク</t>
    </rPh>
    <phoneticPr fontId="1"/>
  </si>
  <si>
    <t>調整″</t>
    <rPh sb="0" eb="2">
      <t>チョウセイ</t>
    </rPh>
    <phoneticPr fontId="1"/>
  </si>
  <si>
    <t>差（秒）</t>
    <rPh sb="0" eb="1">
      <t>サ</t>
    </rPh>
    <rPh sb="2" eb="3">
      <t>ビョウ</t>
    </rPh>
    <phoneticPr fontId="1"/>
  </si>
  <si>
    <t>次点角度（測点２）</t>
    <rPh sb="5" eb="7">
      <t>ソクテン</t>
    </rPh>
    <phoneticPr fontId="1"/>
  </si>
  <si>
    <t>測定角許容誤差</t>
    <rPh sb="0" eb="3">
      <t>ソクテイカク</t>
    </rPh>
    <rPh sb="3" eb="7">
      <t>キョヨウゴサ</t>
    </rPh>
    <phoneticPr fontId="1"/>
  </si>
  <si>
    <t>T-1'</t>
    <phoneticPr fontId="1"/>
  </si>
  <si>
    <t>実測距離</t>
    <rPh sb="0" eb="2">
      <t>ジッソク</t>
    </rPh>
    <rPh sb="2" eb="4">
      <t>キョリ</t>
    </rPh>
    <phoneticPr fontId="1"/>
  </si>
  <si>
    <t>5角形に分配：1角当たり10÷5＝2″</t>
    <phoneticPr fontId="1"/>
  </si>
  <si>
    <t>X補正量</t>
    <rPh sb="1" eb="4">
      <t>ホセイリョウ</t>
    </rPh>
    <phoneticPr fontId="1"/>
  </si>
  <si>
    <t>Y補正量</t>
    <rPh sb="1" eb="3">
      <t>ホセイ</t>
    </rPh>
    <rPh sb="3" eb="4">
      <t>リョウ</t>
    </rPh>
    <phoneticPr fontId="1"/>
  </si>
  <si>
    <t>閉合差</t>
    <rPh sb="0" eb="2">
      <t>ヘイゴウ</t>
    </rPh>
    <rPh sb="2" eb="3">
      <t>サ</t>
    </rPh>
    <phoneticPr fontId="1"/>
  </si>
  <si>
    <t>入力セル</t>
    <rPh sb="0" eb="2">
      <t>ニュウリョク</t>
    </rPh>
    <phoneticPr fontId="1"/>
  </si>
  <si>
    <t>平坦地（30″×√n)</t>
    <rPh sb="0" eb="3">
      <t>ヘイタンチ</t>
    </rPh>
    <phoneticPr fontId="1"/>
  </si>
  <si>
    <t>農地・丘陵地（60″×√n)</t>
    <rPh sb="0" eb="2">
      <t>ノウチ</t>
    </rPh>
    <rPh sb="3" eb="6">
      <t>キュウリョウチ</t>
    </rPh>
    <phoneticPr fontId="1"/>
  </si>
  <si>
    <t>山林・原野（90″×√n)</t>
    <rPh sb="0" eb="2">
      <t>サンリン</t>
    </rPh>
    <rPh sb="3" eb="5">
      <t>ゲンヤ</t>
    </rPh>
    <phoneticPr fontId="1"/>
  </si>
  <si>
    <t>角形(n)</t>
    <rPh sb="0" eb="2">
      <t>カッケイ</t>
    </rPh>
    <phoneticPr fontId="1"/>
  </si>
  <si>
    <t>備考欄</t>
    <rPh sb="0" eb="3">
      <t>ビコウラン</t>
    </rPh>
    <phoneticPr fontId="1"/>
  </si>
  <si>
    <t>方向角（開始基準点）</t>
    <rPh sb="0" eb="3">
      <t>ホウコウカク</t>
    </rPh>
    <rPh sb="4" eb="9">
      <t>カイシキジュンテン</t>
    </rPh>
    <phoneticPr fontId="1"/>
  </si>
  <si>
    <t>閉合比</t>
    <rPh sb="0" eb="3">
      <t>ヘイゴウヒ</t>
    </rPh>
    <phoneticPr fontId="1"/>
  </si>
  <si>
    <t>X増減量（ΔX）</t>
    <phoneticPr fontId="1"/>
  </si>
  <si>
    <t>Y増減量（ΔY）</t>
    <phoneticPr fontId="1"/>
  </si>
  <si>
    <t>閉合差 ＝ √｛（X方向の閉合差）² ＋ （Y方向の閉合差）²｝</t>
    <phoneticPr fontId="1"/>
  </si>
  <si>
    <t>閉合比 ＝ 総延長 ÷ 閉合差</t>
    <phoneticPr fontId="1"/>
  </si>
  <si>
    <t>調整前のX座標</t>
    <phoneticPr fontId="1"/>
  </si>
  <si>
    <t>調整後のX座標</t>
    <rPh sb="0" eb="3">
      <t>チョウセイゴ</t>
    </rPh>
    <rPh sb="5" eb="7">
      <t>ザヒョウ</t>
    </rPh>
    <phoneticPr fontId="1"/>
  </si>
  <si>
    <t>調整前のY座標</t>
    <phoneticPr fontId="1"/>
  </si>
  <si>
    <t>調整後のY座標</t>
    <rPh sb="0" eb="3">
      <t>チョウセイゴ</t>
    </rPh>
    <rPh sb="5" eb="7">
      <t>ザヒョウ</t>
    </rPh>
    <phoneticPr fontId="1"/>
  </si>
  <si>
    <t>許容範囲</t>
    <rPh sb="0" eb="2">
      <t>キョヨウ</t>
    </rPh>
    <rPh sb="2" eb="4">
      <t>ハンイ</t>
    </rPh>
    <phoneticPr fontId="1"/>
  </si>
  <si>
    <t>市街地など平坦地</t>
    <rPh sb="0" eb="3">
      <t>シガイチ</t>
    </rPh>
    <rPh sb="5" eb="8">
      <t>ヘイタンチ</t>
    </rPh>
    <phoneticPr fontId="1"/>
  </si>
  <si>
    <t>山間部など測量が困難な場所</t>
    <rPh sb="0" eb="3">
      <t>サンカンブ</t>
    </rPh>
    <rPh sb="5" eb="7">
      <t>ソクリョウ</t>
    </rPh>
    <rPh sb="8" eb="10">
      <t>コンナン</t>
    </rPh>
    <rPh sb="11" eb="13">
      <t>バショ</t>
    </rPh>
    <phoneticPr fontId="1"/>
  </si>
  <si>
    <t>普通の地形、緩やかな場所</t>
    <rPh sb="0" eb="2">
      <t>フツウ</t>
    </rPh>
    <rPh sb="3" eb="5">
      <t>チケイ</t>
    </rPh>
    <rPh sb="6" eb="7">
      <t>ユル</t>
    </rPh>
    <rPh sb="10" eb="12">
      <t>バショ</t>
    </rPh>
    <phoneticPr fontId="1"/>
  </si>
  <si>
    <t>1/5000～1/20000</t>
    <phoneticPr fontId="1"/>
  </si>
  <si>
    <t>1/1000</t>
    <phoneticPr fontId="1"/>
  </si>
  <si>
    <t>1/3000～1/5000</t>
    <phoneticPr fontId="1"/>
  </si>
  <si>
    <t>総延長ΣL</t>
    <rPh sb="0" eb="3">
      <t>ソウエンチョウ</t>
    </rPh>
    <phoneticPr fontId="1"/>
  </si>
  <si>
    <t>コンパス法則　EL×L／ΣL</t>
    <phoneticPr fontId="1"/>
  </si>
  <si>
    <t>ｍ</t>
    <phoneticPr fontId="1"/>
  </si>
  <si>
    <t>単位：ｍ</t>
    <rPh sb="0" eb="2">
      <t>タンイ</t>
    </rPh>
    <phoneticPr fontId="1"/>
  </si>
  <si>
    <t>X方向の閉合差</t>
    <phoneticPr fontId="1"/>
  </si>
  <si>
    <t>Y方向の閉合差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</si>
</sst>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0"/>
    <numFmt numFmtId="177" formatCode="0.0000"/>
    <numFmt numFmtId="178" formatCode="0.00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1" xfId="0" quotePrefix="1" applyBorder="1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6" fontId="0" fillId="0" borderId="0" xfId="0" applyNumberFormat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20" xfId="0" applyBorder="1">
      <alignment vertical="center"/>
    </xf>
    <xf numFmtId="0" fontId="0" fillId="0" borderId="37" xfId="0" applyBorder="1">
      <alignment vertical="center"/>
    </xf>
    <xf numFmtId="0" fontId="0" fillId="0" borderId="26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2" borderId="40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36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0" xfId="0" applyBorder="1">
      <alignment vertical="center"/>
    </xf>
    <xf numFmtId="0" fontId="0" fillId="2" borderId="27" xfId="0" applyFill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41" xfId="0" applyBorder="1">
      <alignment vertical="center"/>
    </xf>
    <xf numFmtId="176" fontId="0" fillId="0" borderId="2" xfId="0" applyNumberFormat="1" applyBorder="1">
      <alignment vertical="center"/>
    </xf>
    <xf numFmtId="178" fontId="0" fillId="0" borderId="2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10" xfId="0" applyNumberFormat="1" applyBorder="1">
      <alignment vertical="center"/>
    </xf>
    <xf numFmtId="178" fontId="0" fillId="0" borderId="27" xfId="0" applyNumberFormat="1" applyBorder="1">
      <alignment vertical="center"/>
    </xf>
    <xf numFmtId="176" fontId="0" fillId="0" borderId="3" xfId="0" applyNumberFormat="1" applyBorder="1">
      <alignment vertical="center"/>
    </xf>
    <xf numFmtId="177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2" xfId="0" applyFont="1" applyBorder="1">
      <alignment vertical="center"/>
    </xf>
    <xf numFmtId="178" fontId="3" fillId="0" borderId="2" xfId="0" applyNumberFormat="1" applyFont="1" applyBorder="1">
      <alignment vertical="center"/>
    </xf>
    <xf numFmtId="178" fontId="3" fillId="0" borderId="27" xfId="0" applyNumberFormat="1" applyFont="1" applyBorder="1">
      <alignment vertical="center"/>
    </xf>
    <xf numFmtId="178" fontId="3" fillId="0" borderId="10" xfId="0" applyNumberFormat="1" applyFont="1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8" fontId="2" fillId="3" borderId="10" xfId="0" applyNumberFormat="1" applyFont="1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3" borderId="15" xfId="0" applyFill="1" applyBorder="1">
      <alignment vertical="center"/>
    </xf>
    <xf numFmtId="0" fontId="0" fillId="3" borderId="13" xfId="0" applyFill="1" applyBorder="1">
      <alignment vertical="center"/>
    </xf>
    <xf numFmtId="178" fontId="0" fillId="3" borderId="23" xfId="0" applyNumberFormat="1" applyFill="1" applyBorder="1">
      <alignment vertical="center"/>
    </xf>
    <xf numFmtId="0" fontId="0" fillId="3" borderId="24" xfId="0" applyFill="1" applyBorder="1">
      <alignment vertical="center"/>
    </xf>
    <xf numFmtId="178" fontId="0" fillId="3" borderId="25" xfId="0" applyNumberFormat="1" applyFill="1" applyBorder="1">
      <alignment vertical="center"/>
    </xf>
    <xf numFmtId="0" fontId="0" fillId="3" borderId="41" xfId="0" applyFill="1" applyBorder="1" applyAlignment="1">
      <alignment horizontal="right" vertical="center"/>
    </xf>
    <xf numFmtId="177" fontId="3" fillId="0" borderId="9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65BC-FDD5-446A-B3CB-42BF16ACAB7C}">
  <dimension ref="A1:M37"/>
  <sheetViews>
    <sheetView tabSelected="1" zoomScale="120" zoomScaleNormal="120" workbookViewId="0"/>
  </sheetViews>
  <sheetFormatPr defaultRowHeight="18.75" x14ac:dyDescent="0.4"/>
  <cols>
    <col min="3" max="12" width="11" customWidth="1"/>
    <col min="13" max="13" width="12.375" customWidth="1"/>
  </cols>
  <sheetData>
    <row r="1" spans="1:13" ht="24.75" thickBot="1" x14ac:dyDescent="0.45">
      <c r="A1" s="72" t="s">
        <v>17</v>
      </c>
    </row>
    <row r="2" spans="1:13" ht="19.5" thickBot="1" x14ac:dyDescent="0.45">
      <c r="A2" s="55" t="s">
        <v>32</v>
      </c>
      <c r="D2" s="43">
        <v>5</v>
      </c>
      <c r="E2" s="18" t="s">
        <v>36</v>
      </c>
      <c r="G2" s="95" t="s">
        <v>24</v>
      </c>
      <c r="H2" s="96"/>
      <c r="I2" s="97"/>
      <c r="J2" s="93" t="s">
        <v>38</v>
      </c>
      <c r="K2" s="93"/>
      <c r="L2" s="94"/>
    </row>
    <row r="3" spans="1:13" ht="19.5" thickBot="1" x14ac:dyDescent="0.45">
      <c r="C3" s="17"/>
      <c r="D3" s="20" t="s">
        <v>14</v>
      </c>
      <c r="E3" s="39" t="s">
        <v>15</v>
      </c>
      <c r="F3" s="26"/>
      <c r="G3" s="23" t="s">
        <v>1</v>
      </c>
      <c r="H3" s="14" t="s">
        <v>2</v>
      </c>
      <c r="I3" s="4" t="s">
        <v>3</v>
      </c>
      <c r="J3" s="3" t="s">
        <v>1</v>
      </c>
      <c r="K3" s="14" t="s">
        <v>2</v>
      </c>
      <c r="L3" s="24" t="s">
        <v>3</v>
      </c>
    </row>
    <row r="4" spans="1:13" ht="19.5" thickBot="1" x14ac:dyDescent="0.45">
      <c r="A4" s="36" t="s">
        <v>18</v>
      </c>
      <c r="B4" s="37"/>
      <c r="C4" s="47" t="s">
        <v>0</v>
      </c>
      <c r="D4" s="48">
        <v>44.238</v>
      </c>
      <c r="E4" s="49">
        <v>27.286999999999999</v>
      </c>
      <c r="F4" s="26"/>
      <c r="G4" s="44">
        <v>132</v>
      </c>
      <c r="H4" s="45">
        <v>33</v>
      </c>
      <c r="I4" s="46">
        <v>21</v>
      </c>
      <c r="J4" s="11">
        <f>_xlfn.LET(_xlpm.a,MOD(ROUND(DEGREES(ATAN2($D$5-$D$4,$E$5-$E$4))*3600+($G$4*3600+$H$4*60+$I$4),0),360*3600),INT(_xlpm.a/3600))</f>
        <v>58</v>
      </c>
      <c r="K4" s="12">
        <f>_xlfn.LET(_xlpm.a,MOD(ROUND(DEGREES(ATAN2($D$5-$D$4,$E$5-$E$4))*3600+($G$4*3600+$H$4*60+$I$4),0),360*3600),INT(MOD(_xlpm.a,3600)/60))</f>
        <v>19</v>
      </c>
      <c r="L4" s="35">
        <f>_xlfn.LET(_xlpm.a,MOD(ROUND(DEGREES(ATAN2($D$5-$D$4,$E$5-$E$4))*3600+($G$4*3600+$H$4*60+$I$4),0),360*3600),MOD(_xlpm.a,60))</f>
        <v>59</v>
      </c>
    </row>
    <row r="5" spans="1:13" ht="19.5" thickBot="1" x14ac:dyDescent="0.45">
      <c r="A5" s="38" t="s">
        <v>19</v>
      </c>
      <c r="B5" s="35"/>
      <c r="C5" s="50" t="s">
        <v>20</v>
      </c>
      <c r="D5" s="44">
        <v>55.813000000000002</v>
      </c>
      <c r="E5" s="51">
        <v>-13.68</v>
      </c>
      <c r="F5" s="26"/>
    </row>
    <row r="6" spans="1:13" ht="19.5" thickBot="1" x14ac:dyDescent="0.45"/>
    <row r="7" spans="1:13" x14ac:dyDescent="0.4">
      <c r="A7" s="21"/>
      <c r="B7" s="19"/>
      <c r="C7" s="93" t="s">
        <v>7</v>
      </c>
      <c r="D7" s="93"/>
      <c r="E7" s="98"/>
      <c r="F7" s="22" t="s">
        <v>22</v>
      </c>
      <c r="G7" s="93" t="s">
        <v>21</v>
      </c>
      <c r="H7" s="93"/>
      <c r="I7" s="93"/>
      <c r="J7" s="93" t="s">
        <v>9</v>
      </c>
      <c r="K7" s="93"/>
      <c r="L7" s="94"/>
      <c r="M7" t="s">
        <v>37</v>
      </c>
    </row>
    <row r="8" spans="1:13" x14ac:dyDescent="0.4">
      <c r="A8" s="90" t="s">
        <v>4</v>
      </c>
      <c r="B8" s="91"/>
      <c r="C8" s="3" t="s">
        <v>1</v>
      </c>
      <c r="D8" s="14" t="s">
        <v>2</v>
      </c>
      <c r="E8" s="14" t="s">
        <v>3</v>
      </c>
      <c r="F8" s="15" t="s">
        <v>3</v>
      </c>
      <c r="G8" s="3" t="s">
        <v>1</v>
      </c>
      <c r="H8" s="14" t="s">
        <v>2</v>
      </c>
      <c r="I8" s="4" t="s">
        <v>3</v>
      </c>
      <c r="J8" s="3" t="s">
        <v>1</v>
      </c>
      <c r="K8" s="14" t="s">
        <v>2</v>
      </c>
      <c r="L8" s="24" t="s">
        <v>3</v>
      </c>
    </row>
    <row r="9" spans="1:13" x14ac:dyDescent="0.4">
      <c r="A9" s="56" t="s">
        <v>0</v>
      </c>
      <c r="B9" s="57">
        <v>2</v>
      </c>
      <c r="C9" s="52">
        <v>62</v>
      </c>
      <c r="D9" s="53">
        <v>27</v>
      </c>
      <c r="E9" s="53">
        <v>5</v>
      </c>
      <c r="F9" s="16">
        <f>_xlfn.LET(_xlpm.差秒,($C$15*3600+$D$15*60+$E$15)-($C$14*3600+$D$14*60+$E$14),_xlpm.角数,COUNT($C$9:$C$13),_xlpm.基本,QUOTIENT(_xlpm.差秒,_xlpm.角数),_xlpm.余り,MOD(ABS(_xlpm.差秒),_xlpm.角数),_xlpm.基本+IF(ROWS($F$9:F9)&lt;=_xlpm.余り,SIGN(_xlpm.差秒),0))</f>
        <v>2</v>
      </c>
      <c r="G9" s="5">
        <f>_xlfn.LET(_xlpm.a,C9*3600+D9*60+E9+F9,INT(_xlpm.a/3600))</f>
        <v>62</v>
      </c>
      <c r="H9" s="6">
        <f>_xlfn.LET(_xlpm.a,C9*3600+D9*60+E9+F9,INT(MOD(_xlpm.a,3600)/60))</f>
        <v>27</v>
      </c>
      <c r="I9" s="7">
        <f>_xlfn.LET(_xlpm.a,C9*3600+D9*60+E9+F9,MOD(_xlpm.a,60))</f>
        <v>7</v>
      </c>
      <c r="J9" s="5">
        <f>+J4</f>
        <v>58</v>
      </c>
      <c r="K9" s="6">
        <f>+K4</f>
        <v>19</v>
      </c>
      <c r="L9" s="25">
        <f>+L4</f>
        <v>59</v>
      </c>
    </row>
    <row r="10" spans="1:13" x14ac:dyDescent="0.4">
      <c r="A10" s="56">
        <v>2</v>
      </c>
      <c r="B10" s="57">
        <v>3</v>
      </c>
      <c r="C10" s="52">
        <v>165</v>
      </c>
      <c r="D10" s="53">
        <v>14</v>
      </c>
      <c r="E10" s="53">
        <v>8</v>
      </c>
      <c r="F10" s="16">
        <f>_xlfn.LET(_xlpm.差秒,($C$15*3600+$D$15*60+$E$15)-($C$14*3600+$D$14*60+$E$14),_xlpm.角数,COUNT($C$9:$C$13),_xlpm.基本,QUOTIENT(_xlpm.差秒,_xlpm.角数),_xlpm.余り,MOD(ABS(_xlpm.差秒),_xlpm.角数),_xlpm.基本+IF(ROWS($F$9:F10)&lt;=_xlpm.余り,SIGN(_xlpm.差秒),0))</f>
        <v>2</v>
      </c>
      <c r="G10" s="5">
        <f t="shared" ref="G10:G13" si="0">_xlfn.LET(_xlpm.a,C10*3600+D10*60+E10+F10,INT(_xlpm.a/3600))</f>
        <v>165</v>
      </c>
      <c r="H10" s="6">
        <f t="shared" ref="H10:H13" si="1">_xlfn.LET(_xlpm.a,C10*3600+D10*60+E10+F10,INT(MOD(_xlpm.a,3600)/60))</f>
        <v>14</v>
      </c>
      <c r="I10" s="7">
        <f t="shared" ref="I10:I13" si="2">_xlfn.LET(_xlpm.a,C10*3600+D10*60+E10+F10,MOD(_xlpm.a,60))</f>
        <v>10</v>
      </c>
      <c r="J10" s="5">
        <f>_xlfn.LET(_xlpm.a,MOD((J9*3600+K9*60+L9)+180*3600-(G10*3600+H10*60+I10),360*3600),INT(_xlpm.a/3600))</f>
        <v>73</v>
      </c>
      <c r="K10" s="6">
        <f>_xlfn.LET(_xlpm.a,MOD((J9*3600+K9*60+L9)+180*3600-(G10*3600+H10*60+I10),360*3600),INT(MOD(_xlpm.a,3600)/60))</f>
        <v>5</v>
      </c>
      <c r="L10" s="25">
        <f>_xlfn.LET(_xlpm.a,MOD((J9*3600+K9*60+L9)+180*3600-(G10*3600+H10*60+I10),360*3600),MOD(_xlpm.a,60))</f>
        <v>49</v>
      </c>
      <c r="M10" t="s">
        <v>10</v>
      </c>
    </row>
    <row r="11" spans="1:13" x14ac:dyDescent="0.4">
      <c r="A11" s="56">
        <v>3</v>
      </c>
      <c r="B11" s="57">
        <v>4</v>
      </c>
      <c r="C11" s="52">
        <v>97</v>
      </c>
      <c r="D11" s="53">
        <v>36</v>
      </c>
      <c r="E11" s="53">
        <v>20</v>
      </c>
      <c r="F11" s="16">
        <f>_xlfn.LET(_xlpm.差秒,($C$15*3600+$D$15*60+$E$15)-($C$14*3600+$D$14*60+$E$14),_xlpm.角数,COUNT($C$9:$C$13),_xlpm.基本,QUOTIENT(_xlpm.差秒,_xlpm.角数),_xlpm.余り,MOD(ABS(_xlpm.差秒),_xlpm.角数),_xlpm.基本+IF(ROWS($F$9:F11)&lt;=_xlpm.余り,SIGN(_xlpm.差秒),0))</f>
        <v>2</v>
      </c>
      <c r="G11" s="5">
        <f t="shared" si="0"/>
        <v>97</v>
      </c>
      <c r="H11" s="6">
        <f t="shared" si="1"/>
        <v>36</v>
      </c>
      <c r="I11" s="7">
        <f t="shared" si="2"/>
        <v>22</v>
      </c>
      <c r="J11" s="5">
        <f>_xlfn.LET(_xlpm.a,MOD((J10*3600+K10*60+L10)+180*3600-(G11*3600+H11*60+I11),360*3600),INT(_xlpm.a/3600))</f>
        <v>155</v>
      </c>
      <c r="K11" s="6">
        <f>_xlfn.LET(_xlpm.a,MOD((J10*3600+K10*60+L10)+180*3600-(G11*3600+H11*60+I11),360*3600),INT(MOD(_xlpm.a,3600)/60))</f>
        <v>29</v>
      </c>
      <c r="L11" s="25">
        <f>_xlfn.LET(_xlpm.a,MOD((J10*3600+K10*60+L10)+180*3600-(G11*3600+H11*60+I11),360*3600),MOD(_xlpm.a,60))</f>
        <v>27</v>
      </c>
      <c r="M11" t="s">
        <v>11</v>
      </c>
    </row>
    <row r="12" spans="1:13" x14ac:dyDescent="0.4">
      <c r="A12" s="56">
        <v>4</v>
      </c>
      <c r="B12" s="57">
        <v>5</v>
      </c>
      <c r="C12" s="52">
        <v>98</v>
      </c>
      <c r="D12" s="53">
        <v>2</v>
      </c>
      <c r="E12" s="53">
        <v>50</v>
      </c>
      <c r="F12" s="16">
        <f>_xlfn.LET(_xlpm.差秒,($C$15*3600+$D$15*60+$E$15)-($C$14*3600+$D$14*60+$E$14),_xlpm.角数,COUNT($C$9:$C$13),_xlpm.基本,QUOTIENT(_xlpm.差秒,_xlpm.角数),_xlpm.余り,MOD(ABS(_xlpm.差秒),_xlpm.角数),_xlpm.基本+IF(ROWS($F$9:F12)&lt;=_xlpm.余り,SIGN(_xlpm.差秒),0))</f>
        <v>2</v>
      </c>
      <c r="G12" s="5">
        <f t="shared" si="0"/>
        <v>98</v>
      </c>
      <c r="H12" s="6">
        <f t="shared" si="1"/>
        <v>2</v>
      </c>
      <c r="I12" s="7">
        <f t="shared" si="2"/>
        <v>52</v>
      </c>
      <c r="J12" s="5">
        <f>_xlfn.LET(_xlpm.a,MOD((J11*3600+K11*60+L11)+180*3600-(G12*3600+H12*60+I12),360*3600),INT(_xlpm.a/3600))</f>
        <v>237</v>
      </c>
      <c r="K12" s="6">
        <f>_xlfn.LET(_xlpm.a,MOD((J11*3600+K11*60+L11)+180*3600-(G12*3600+H12*60+I12),360*3600),INT(MOD(_xlpm.a,3600)/60))</f>
        <v>26</v>
      </c>
      <c r="L12" s="25">
        <f>_xlfn.LET(_xlpm.a,MOD((J11*3600+K11*60+L11)+180*3600-(G12*3600+H12*60+I12),360*3600),MOD(_xlpm.a,60))</f>
        <v>35</v>
      </c>
      <c r="M12" t="s">
        <v>12</v>
      </c>
    </row>
    <row r="13" spans="1:13" ht="19.5" thickBot="1" x14ac:dyDescent="0.45">
      <c r="A13" s="58">
        <v>5</v>
      </c>
      <c r="B13" s="59" t="s">
        <v>0</v>
      </c>
      <c r="C13" s="54">
        <v>116</v>
      </c>
      <c r="D13" s="45">
        <v>39</v>
      </c>
      <c r="E13" s="45">
        <v>27</v>
      </c>
      <c r="F13" s="31">
        <f>_xlfn.LET(_xlpm.差秒,($C$15*3600+$D$15*60+$E$15)-($C$14*3600+$D$14*60+$E$14),_xlpm.角数,COUNT($C$9:$C$13),_xlpm.基本,QUOTIENT(_xlpm.差秒,_xlpm.角数),_xlpm.余り,MOD(ABS(_xlpm.差秒),_xlpm.角数),_xlpm.基本+IF(ROWS($F$9:F13)&lt;=_xlpm.余り,SIGN(_xlpm.差秒),0))</f>
        <v>2</v>
      </c>
      <c r="G13" s="11">
        <f t="shared" si="0"/>
        <v>116</v>
      </c>
      <c r="H13" s="12">
        <f t="shared" si="1"/>
        <v>39</v>
      </c>
      <c r="I13" s="13">
        <f t="shared" si="2"/>
        <v>29</v>
      </c>
      <c r="J13" s="11">
        <f>_xlfn.LET(_xlpm.a,MOD((J12*3600+K12*60+L12)+180*3600-(G13*3600+H13*60+I13),360*3600),INT(_xlpm.a/3600))</f>
        <v>300</v>
      </c>
      <c r="K13" s="12">
        <f>_xlfn.LET(_xlpm.a,MOD((J12*3600+K12*60+L12)+180*3600-(G13*3600+H13*60+I13),360*3600),INT(MOD(_xlpm.a,3600)/60))</f>
        <v>47</v>
      </c>
      <c r="L13" s="35">
        <f>_xlfn.LET(_xlpm.a,MOD((J12*3600+K12*60+L12)+180*3600-(G13*3600+H13*60+I13),360*3600),MOD(_xlpm.a,60))</f>
        <v>6</v>
      </c>
      <c r="M13" t="s">
        <v>13</v>
      </c>
    </row>
    <row r="14" spans="1:13" x14ac:dyDescent="0.4">
      <c r="A14" s="32"/>
      <c r="B14" s="2" t="s">
        <v>8</v>
      </c>
      <c r="C14" s="40">
        <f>SUM(C9:C13)+INT((SUM(D9:D13)+INT(SUM(E9:E13)/60))/60)</f>
        <v>539</v>
      </c>
      <c r="D14" s="41">
        <f>MOD(SUM(D9:D13)+INT(SUM(E9:E13)/60),60)</f>
        <v>59</v>
      </c>
      <c r="E14" s="42">
        <f>MOD(SUM(E9:E13),60)</f>
        <v>50</v>
      </c>
      <c r="F14" s="2">
        <f>SUM(F9:F13)</f>
        <v>10</v>
      </c>
      <c r="G14" s="40">
        <f>SUM(G9:G13)+INT((SUM(H9:H13)+INT(SUM(I9:I13)/60))/60)</f>
        <v>540</v>
      </c>
      <c r="H14" s="2">
        <f>MOD(SUM(H9:H13)+INT(SUM(I9:I13)/60),60)</f>
        <v>0</v>
      </c>
      <c r="I14" s="2">
        <f>MOD(SUM(I9:I13),60)</f>
        <v>0</v>
      </c>
      <c r="J14" s="33">
        <f>_xlfn.LET(_xlpm.a,MOD((J13*3600+K13*60+L13)+180*3600-(G9*3600+H9*60+I9),360*3600),INT(_xlpm.a/3600))</f>
        <v>58</v>
      </c>
      <c r="K14" s="2">
        <f>_xlfn.LET(_xlpm.a,MOD((J13*3600+K13*60+L13)+180*3600-(G9*3600+H9*60+I9),360*3600),INT(MOD(_xlpm.a,3600)/60))</f>
        <v>19</v>
      </c>
      <c r="L14" s="34">
        <f>_xlfn.LET(_xlpm.a,MOD((J13*3600+K13*60+L13)+180*3600-(G9*3600+H9*60+I9),360*3600),MOD(_xlpm.a,60))</f>
        <v>59</v>
      </c>
    </row>
    <row r="15" spans="1:13" x14ac:dyDescent="0.4">
      <c r="A15" s="1" t="s">
        <v>5</v>
      </c>
      <c r="B15" s="6"/>
      <c r="C15" s="6">
        <f>(COUNT(C9:C13)-2)*180</f>
        <v>540</v>
      </c>
      <c r="D15" s="2">
        <v>0</v>
      </c>
      <c r="E15" s="2">
        <v>0</v>
      </c>
      <c r="L15" s="27"/>
    </row>
    <row r="16" spans="1:13" ht="19.5" thickBot="1" x14ac:dyDescent="0.45">
      <c r="A16" s="28"/>
      <c r="B16" s="29" t="s">
        <v>23</v>
      </c>
      <c r="C16" s="29"/>
      <c r="D16" s="29"/>
      <c r="E16" s="29">
        <f>3600*(C15-C14)+60*(D15-D14)+(E15-E14)</f>
        <v>10</v>
      </c>
      <c r="F16" s="29"/>
      <c r="G16" s="29"/>
      <c r="H16" s="29"/>
      <c r="I16" s="29"/>
      <c r="J16" s="29"/>
      <c r="K16" s="29"/>
      <c r="L16" s="30"/>
      <c r="M16" t="s">
        <v>28</v>
      </c>
    </row>
    <row r="17" spans="1:13" x14ac:dyDescent="0.4">
      <c r="A17" t="s">
        <v>25</v>
      </c>
      <c r="C17" t="s">
        <v>33</v>
      </c>
      <c r="D17" s="10"/>
      <c r="E17">
        <f>ROUND(30*SQRT($D$2),0)</f>
        <v>67</v>
      </c>
      <c r="F17" t="s">
        <v>3</v>
      </c>
    </row>
    <row r="18" spans="1:13" x14ac:dyDescent="0.4">
      <c r="C18" t="s">
        <v>34</v>
      </c>
      <c r="E18">
        <f>ROUND(60*SQRT($D$2),0)</f>
        <v>134</v>
      </c>
      <c r="F18" t="s">
        <v>3</v>
      </c>
    </row>
    <row r="19" spans="1:13" x14ac:dyDescent="0.4">
      <c r="C19" t="s">
        <v>35</v>
      </c>
      <c r="E19">
        <f>ROUND(90*SQRT($D$2),0)</f>
        <v>201</v>
      </c>
      <c r="F19" t="s">
        <v>3</v>
      </c>
      <c r="H19" t="s">
        <v>56</v>
      </c>
      <c r="M19" t="s">
        <v>58</v>
      </c>
    </row>
    <row r="20" spans="1:13" x14ac:dyDescent="0.4">
      <c r="A20" s="92" t="s">
        <v>4</v>
      </c>
      <c r="B20" s="91"/>
      <c r="C20" s="16" t="s">
        <v>27</v>
      </c>
      <c r="D20" s="77" t="s">
        <v>16</v>
      </c>
      <c r="E20" s="77" t="s">
        <v>40</v>
      </c>
      <c r="F20" s="78" t="s">
        <v>41</v>
      </c>
      <c r="G20" s="16" t="s">
        <v>4</v>
      </c>
      <c r="H20" s="81" t="s">
        <v>44</v>
      </c>
      <c r="I20" s="77" t="s">
        <v>29</v>
      </c>
      <c r="J20" s="79" t="s">
        <v>45</v>
      </c>
      <c r="K20" s="81" t="s">
        <v>46</v>
      </c>
      <c r="L20" s="77" t="s">
        <v>30</v>
      </c>
      <c r="M20" s="79" t="s">
        <v>47</v>
      </c>
    </row>
    <row r="21" spans="1:13" x14ac:dyDescent="0.4">
      <c r="A21" s="3" t="str">
        <f>+A9</f>
        <v>T-1</v>
      </c>
      <c r="B21" s="4">
        <f>+B9</f>
        <v>2</v>
      </c>
      <c r="C21" s="55">
        <v>51.972000000000001</v>
      </c>
      <c r="D21" s="16">
        <f>J9+K9/60+L9/3600</f>
        <v>58.333055555555561</v>
      </c>
      <c r="E21" s="65">
        <f>C21*COS(RADIANS(D21))</f>
        <v>27.284297286453523</v>
      </c>
      <c r="F21" s="70">
        <f>C21*SIN(RADIANS(D21))</f>
        <v>44.234103422409561</v>
      </c>
      <c r="G21" s="15" t="str">
        <f>+A21</f>
        <v>T-1</v>
      </c>
      <c r="H21" s="16">
        <f>+D4</f>
        <v>44.238</v>
      </c>
      <c r="I21" s="65">
        <f>-$H$27*(C21/$C$27)</f>
        <v>1.4531045046826724E-3</v>
      </c>
      <c r="J21" s="73">
        <f>H21</f>
        <v>44.238</v>
      </c>
      <c r="K21" s="16">
        <f>+E4</f>
        <v>27.286999999999999</v>
      </c>
      <c r="L21" s="65">
        <f>-$K$27*(C21/$C$27)</f>
        <v>3.3954618523747808E-3</v>
      </c>
      <c r="M21" s="73">
        <f>K21</f>
        <v>27.286999999999999</v>
      </c>
    </row>
    <row r="22" spans="1:13" x14ac:dyDescent="0.4">
      <c r="A22" s="3">
        <f t="shared" ref="A22:B22" si="3">+A10</f>
        <v>2</v>
      </c>
      <c r="B22" s="4">
        <f t="shared" si="3"/>
        <v>3</v>
      </c>
      <c r="C22" s="55">
        <v>73.694999999999993</v>
      </c>
      <c r="D22" s="16">
        <f t="shared" ref="D22:D25" si="4">J10+K10/60+L10/3600</f>
        <v>73.096944444444446</v>
      </c>
      <c r="E22" s="65">
        <f>C22*COS(RADIANS(D22))</f>
        <v>21.427058516917512</v>
      </c>
      <c r="F22" s="70">
        <f>C22*SIN(RADIANS(D22))</f>
        <v>70.511234482971517</v>
      </c>
      <c r="G22" s="15">
        <f>+A22</f>
        <v>2</v>
      </c>
      <c r="H22" s="66">
        <f>+H21+E21</f>
        <v>71.522297286453522</v>
      </c>
      <c r="I22" s="65">
        <f t="shared" ref="I22:I24" si="5">-$H$27*(C22/$C$27)</f>
        <v>2.0604659522933414E-3</v>
      </c>
      <c r="J22" s="74">
        <f>J21+E21+I21</f>
        <v>71.523750390958199</v>
      </c>
      <c r="K22" s="66">
        <f>+K21+F21</f>
        <v>71.521103422409567</v>
      </c>
      <c r="L22" s="65">
        <f t="shared" ref="L22:L25" si="6">-$K$27*(C22/$C$27)</f>
        <v>4.8146802357184534E-3</v>
      </c>
      <c r="M22" s="74">
        <f>M21+F21+L21</f>
        <v>71.524498884261945</v>
      </c>
    </row>
    <row r="23" spans="1:13" x14ac:dyDescent="0.4">
      <c r="A23" s="3">
        <f t="shared" ref="A23:B23" si="7">+A11</f>
        <v>3</v>
      </c>
      <c r="B23" s="4">
        <f t="shared" si="7"/>
        <v>4</v>
      </c>
      <c r="C23" s="55">
        <v>35.345999999999997</v>
      </c>
      <c r="D23" s="16">
        <f t="shared" si="4"/>
        <v>155.49083333333331</v>
      </c>
      <c r="E23" s="65">
        <f>C23*COS(RADIANS(D23))</f>
        <v>-32.161145597549577</v>
      </c>
      <c r="F23" s="70">
        <f>C23*SIN(RADIANS(D23))</f>
        <v>14.662892956480905</v>
      </c>
      <c r="G23" s="15">
        <f>+A23</f>
        <v>3</v>
      </c>
      <c r="H23" s="66">
        <f t="shared" ref="H23:H26" si="8">+H22+E22</f>
        <v>92.949355803371034</v>
      </c>
      <c r="I23" s="65">
        <f t="shared" si="5"/>
        <v>9.8825197842133711E-4</v>
      </c>
      <c r="J23" s="74">
        <f t="shared" ref="J23:J26" si="9">J22+E22+I22</f>
        <v>92.952869373828008</v>
      </c>
      <c r="K23" s="66">
        <f t="shared" ref="K23:K26" si="10">+K22+F22</f>
        <v>142.0323379053811</v>
      </c>
      <c r="L23" s="65">
        <f t="shared" si="6"/>
        <v>2.3092433355275722E-3</v>
      </c>
      <c r="M23" s="74">
        <f t="shared" ref="M23:M26" si="11">M22+F22+L22</f>
        <v>142.04054804746917</v>
      </c>
    </row>
    <row r="24" spans="1:13" x14ac:dyDescent="0.4">
      <c r="A24" s="3">
        <f t="shared" ref="A24:B24" si="12">+A12</f>
        <v>4</v>
      </c>
      <c r="B24" s="4">
        <f t="shared" si="12"/>
        <v>5</v>
      </c>
      <c r="C24" s="55">
        <v>90.040999999999997</v>
      </c>
      <c r="D24" s="16">
        <f t="shared" si="4"/>
        <v>237.44305555555556</v>
      </c>
      <c r="E24" s="65">
        <f>C24*COS(RADIANS(D24))</f>
        <v>-48.454444278760974</v>
      </c>
      <c r="F24" s="70">
        <f>C24*SIN(RADIANS(D24))</f>
        <v>-75.89168933840152</v>
      </c>
      <c r="G24" s="15">
        <f t="shared" ref="G24:G25" si="13">+A24</f>
        <v>4</v>
      </c>
      <c r="H24" s="66">
        <f t="shared" si="8"/>
        <v>60.788210205821457</v>
      </c>
      <c r="I24" s="65">
        <f t="shared" si="5"/>
        <v>2.5174898542702317E-3</v>
      </c>
      <c r="J24" s="74">
        <f t="shared" si="9"/>
        <v>60.792712028256851</v>
      </c>
      <c r="K24" s="66">
        <f t="shared" si="10"/>
        <v>156.695230861862</v>
      </c>
      <c r="L24" s="65">
        <f t="shared" si="6"/>
        <v>5.8826056463033485E-3</v>
      </c>
      <c r="M24" s="74">
        <f t="shared" si="11"/>
        <v>156.70575024728561</v>
      </c>
    </row>
    <row r="25" spans="1:13" ht="19.5" thickBot="1" x14ac:dyDescent="0.45">
      <c r="A25" s="8">
        <f t="shared" ref="A25:B25" si="14">+A13</f>
        <v>5</v>
      </c>
      <c r="B25" s="9" t="str">
        <f t="shared" si="14"/>
        <v>T-1</v>
      </c>
      <c r="C25" s="62">
        <v>62.317999999999998</v>
      </c>
      <c r="D25" s="31">
        <f t="shared" si="4"/>
        <v>300.78500000000003</v>
      </c>
      <c r="E25" s="67">
        <f>C25*COS(RADIANS(D25))</f>
        <v>31.895472388477859</v>
      </c>
      <c r="F25" s="67">
        <f>C25*SIN(RADIANS(D25))</f>
        <v>-53.537014906659174</v>
      </c>
      <c r="G25" s="15">
        <f t="shared" si="13"/>
        <v>5</v>
      </c>
      <c r="H25" s="66">
        <f t="shared" si="8"/>
        <v>12.333765927060483</v>
      </c>
      <c r="I25" s="65">
        <f>-$H$27*(C25/$C$27)</f>
        <v>1.7423721719928957E-3</v>
      </c>
      <c r="J25" s="74">
        <f t="shared" si="9"/>
        <v>12.340785239350147</v>
      </c>
      <c r="K25" s="66">
        <f t="shared" si="10"/>
        <v>80.803541523460481</v>
      </c>
      <c r="L25" s="65">
        <f t="shared" si="6"/>
        <v>4.0713921287672513E-3</v>
      </c>
      <c r="M25" s="74">
        <f t="shared" si="11"/>
        <v>80.819943514530394</v>
      </c>
    </row>
    <row r="26" spans="1:13" ht="19.5" thickBot="1" x14ac:dyDescent="0.45">
      <c r="A26" s="61"/>
      <c r="B26" s="61"/>
      <c r="C26" s="61"/>
      <c r="D26" s="61"/>
      <c r="E26" s="61"/>
      <c r="F26" s="68"/>
      <c r="G26" s="63" t="s">
        <v>26</v>
      </c>
      <c r="H26" s="69">
        <f t="shared" si="8"/>
        <v>44.229238315538339</v>
      </c>
      <c r="I26" s="67"/>
      <c r="J26" s="75">
        <f t="shared" si="9"/>
        <v>44.238</v>
      </c>
      <c r="K26" s="69">
        <f t="shared" si="10"/>
        <v>27.266526616801308</v>
      </c>
      <c r="L26" s="67"/>
      <c r="M26" s="75">
        <f t="shared" si="11"/>
        <v>27.286999999999988</v>
      </c>
    </row>
    <row r="27" spans="1:13" x14ac:dyDescent="0.4">
      <c r="A27" s="16"/>
      <c r="B27" s="16" t="s">
        <v>55</v>
      </c>
      <c r="C27" s="16">
        <f>SUM(C21:C25)</f>
        <v>313.37200000000001</v>
      </c>
      <c r="D27" s="16"/>
      <c r="E27" s="65">
        <f>SUM(E21:E25)</f>
        <v>-8.7616844616569267E-3</v>
      </c>
      <c r="F27" s="65">
        <f>SUM(F21:F25)</f>
        <v>-2.0473383198698514E-2</v>
      </c>
      <c r="G27" s="61" t="s">
        <v>6</v>
      </c>
      <c r="H27" s="80">
        <f>+H26-H21</f>
        <v>-8.7616844616604794E-3</v>
      </c>
      <c r="I27" s="68">
        <f>SUM(I21:I25)</f>
        <v>8.7616844616604794E-3</v>
      </c>
      <c r="J27" s="76">
        <f>J26-J21</f>
        <v>0</v>
      </c>
      <c r="K27" s="80">
        <f>+K26-K21</f>
        <v>-2.0473383198691408E-2</v>
      </c>
      <c r="L27" s="68">
        <f>SUM(L21:L25)</f>
        <v>2.0473383198691405E-2</v>
      </c>
      <c r="M27" s="76">
        <f>M26-M21</f>
        <v>0</v>
      </c>
    </row>
    <row r="28" spans="1:13" ht="19.5" thickBot="1" x14ac:dyDescent="0.45"/>
    <row r="29" spans="1:13" ht="19.5" thickBot="1" x14ac:dyDescent="0.45">
      <c r="B29" s="60" t="s">
        <v>31</v>
      </c>
      <c r="C29" s="88">
        <f>SQRT(H27^2+K27^2)</f>
        <v>2.226940803448E-2</v>
      </c>
      <c r="D29" s="71" t="s">
        <v>57</v>
      </c>
      <c r="H29" s="82" t="s">
        <v>59</v>
      </c>
      <c r="I29" s="83"/>
      <c r="J29" s="87" t="s">
        <v>60</v>
      </c>
    </row>
    <row r="30" spans="1:13" ht="19.5" thickBot="1" x14ac:dyDescent="0.45">
      <c r="B30" t="s">
        <v>42</v>
      </c>
      <c r="H30" s="84">
        <f>+H27</f>
        <v>-8.7616844616604794E-3</v>
      </c>
      <c r="I30" s="85"/>
      <c r="J30" s="86">
        <f>+K27</f>
        <v>-2.0473383198691408E-2</v>
      </c>
    </row>
    <row r="31" spans="1:13" ht="19.5" thickBot="1" x14ac:dyDescent="0.45"/>
    <row r="32" spans="1:13" ht="19.5" thickBot="1" x14ac:dyDescent="0.45">
      <c r="B32" s="60" t="s">
        <v>39</v>
      </c>
      <c r="C32" s="89" t="str">
        <f>"1/"&amp;TEXT(ROUND(C27/C29,0),"#,##0")</f>
        <v>1/14,072</v>
      </c>
    </row>
    <row r="33" spans="2:7" x14ac:dyDescent="0.4">
      <c r="B33" t="s">
        <v>43</v>
      </c>
    </row>
    <row r="34" spans="2:7" ht="19.5" thickBot="1" x14ac:dyDescent="0.45"/>
    <row r="35" spans="2:7" x14ac:dyDescent="0.4">
      <c r="B35" s="21" t="s">
        <v>48</v>
      </c>
      <c r="C35" s="19" t="s">
        <v>49</v>
      </c>
      <c r="D35" s="19"/>
      <c r="E35" s="19"/>
      <c r="F35" s="19" t="s">
        <v>52</v>
      </c>
      <c r="G35" s="64"/>
    </row>
    <row r="36" spans="2:7" x14ac:dyDescent="0.4">
      <c r="B36" s="26"/>
      <c r="C36" t="s">
        <v>50</v>
      </c>
      <c r="F36" t="s">
        <v>53</v>
      </c>
      <c r="G36" s="27"/>
    </row>
    <row r="37" spans="2:7" ht="19.5" thickBot="1" x14ac:dyDescent="0.45">
      <c r="B37" s="28"/>
      <c r="C37" s="29" t="s">
        <v>51</v>
      </c>
      <c r="D37" s="29"/>
      <c r="E37" s="29"/>
      <c r="F37" s="29" t="s">
        <v>54</v>
      </c>
      <c r="G37" s="30"/>
    </row>
  </sheetData>
  <mergeCells count="7">
    <mergeCell ref="A8:B8"/>
    <mergeCell ref="A20:B20"/>
    <mergeCell ref="J2:L2"/>
    <mergeCell ref="G2:I2"/>
    <mergeCell ref="C7:E7"/>
    <mergeCell ref="G7:I7"/>
    <mergeCell ref="J7:L7"/>
  </mergeCells>
  <phoneticPr fontId="1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政明 川下</dc:creator>
  <cp:lastModifiedBy>政明 川下</cp:lastModifiedBy>
  <dcterms:created xsi:type="dcterms:W3CDTF">2026-05-30T07:08:59Z</dcterms:created>
  <dcterms:modified xsi:type="dcterms:W3CDTF">2026-05-31T10:49:58Z</dcterms:modified>
</cp:coreProperties>
</file>